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3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<sst xmlns="http://schemas.openxmlformats.org/spreadsheetml/2006/main" count="154">
  <si>
    <t>2020年第一、二季度葡萄产业贴息补助资金计划表</t>
  </si>
  <si>
    <t>单位：亩、天、万元</t>
  </si>
  <si>
    <t>序号</t>
  </si>
  <si>
    <t>申报部门</t>
  </si>
  <si>
    <t>贷款酒庄（企业）及种植大户</t>
  </si>
  <si>
    <t>贷款银行</t>
  </si>
  <si>
    <t>贷款用途</t>
  </si>
  <si>
    <t>贷款类型</t>
  </si>
  <si>
    <t>葡萄种植面积</t>
  </si>
  <si>
    <t>贷款期限</t>
  </si>
  <si>
    <t>贷款利率（LPR)</t>
  </si>
  <si>
    <t>贴息天数</t>
  </si>
  <si>
    <t>贷款额</t>
  </si>
  <si>
    <t>第一季度贴息</t>
  </si>
  <si>
    <t>第二季度贴息</t>
  </si>
  <si>
    <t>计划贴息合计</t>
  </si>
  <si>
    <t>备注</t>
  </si>
  <si>
    <t>贺兰县</t>
  </si>
  <si>
    <t>宁夏沃尔丰葡萄酒有限公司</t>
  </si>
  <si>
    <t>农行银川市金凤支行</t>
  </si>
  <si>
    <t>购买原料</t>
  </si>
  <si>
    <t>新增</t>
  </si>
  <si>
    <r>
      <rPr>
        <sz val="10"/>
        <color theme="1"/>
        <rFont val="Times New Roman"/>
        <charset val="134"/>
      </rPr>
      <t>2020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26</t>
    </r>
    <r>
      <rPr>
        <sz val="10"/>
        <color theme="1"/>
        <rFont val="宋体"/>
        <charset val="134"/>
      </rPr>
      <t>日</t>
    </r>
    <r>
      <rPr>
        <sz val="10"/>
        <color theme="1"/>
        <rFont val="Times New Roman"/>
        <charset val="134"/>
      </rPr>
      <t>-2021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24</t>
    </r>
    <r>
      <rPr>
        <sz val="10"/>
        <color theme="1"/>
        <rFont val="宋体"/>
        <charset val="134"/>
      </rPr>
      <t>日</t>
    </r>
  </si>
  <si>
    <t>贺兰农商行营业部</t>
  </si>
  <si>
    <t>葡萄种植及购买农机设备</t>
  </si>
  <si>
    <r>
      <rPr>
        <sz val="10"/>
        <color theme="1"/>
        <rFont val="Times New Roman"/>
        <charset val="134"/>
      </rPr>
      <t>2020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6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11</t>
    </r>
    <r>
      <rPr>
        <sz val="10"/>
        <color theme="1"/>
        <rFont val="宋体"/>
        <charset val="134"/>
      </rPr>
      <t>日</t>
    </r>
    <r>
      <rPr>
        <sz val="10"/>
        <color theme="1"/>
        <rFont val="Times New Roman"/>
        <charset val="134"/>
      </rPr>
      <t>-2021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6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宋体"/>
        <charset val="134"/>
      </rPr>
      <t>日</t>
    </r>
  </si>
  <si>
    <t>宁夏高源银色高地葡萄酒庄有限公司</t>
  </si>
  <si>
    <t>建行银川西城支行</t>
  </si>
  <si>
    <t>日常经营周转、购买原材料等</t>
  </si>
  <si>
    <r>
      <rPr>
        <sz val="10"/>
        <color theme="1"/>
        <rFont val="Times New Roman"/>
        <charset val="134"/>
      </rPr>
      <t>2020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日</t>
    </r>
    <r>
      <rPr>
        <sz val="10"/>
        <color theme="1"/>
        <rFont val="Times New Roman"/>
        <charset val="134"/>
      </rPr>
      <t>-2022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日</t>
    </r>
  </si>
  <si>
    <t>取得借款实际日期为2月14日</t>
  </si>
  <si>
    <t>中国银行银川金凤支行</t>
  </si>
  <si>
    <t>支付葡萄、葡萄苗、包装物、肥料等</t>
  </si>
  <si>
    <r>
      <rPr>
        <sz val="10"/>
        <color theme="1"/>
        <rFont val="Times New Roman"/>
        <charset val="134"/>
      </rPr>
      <t>2020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22</t>
    </r>
    <r>
      <rPr>
        <sz val="10"/>
        <color theme="1"/>
        <rFont val="宋体"/>
        <charset val="134"/>
      </rPr>
      <t>日</t>
    </r>
    <r>
      <rPr>
        <sz val="10"/>
        <color theme="1"/>
        <rFont val="Times New Roman"/>
        <charset val="134"/>
      </rPr>
      <t>-2021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20</t>
    </r>
    <r>
      <rPr>
        <sz val="10"/>
        <color theme="1"/>
        <rFont val="宋体"/>
        <charset val="134"/>
      </rPr>
      <t>日</t>
    </r>
  </si>
  <si>
    <t>宁夏圆润农业开发有限公司</t>
  </si>
  <si>
    <t>石嘴山银行银川分行</t>
  </si>
  <si>
    <t>借新还旧</t>
  </si>
  <si>
    <t>续贷</t>
  </si>
  <si>
    <r>
      <rPr>
        <sz val="10"/>
        <color theme="1"/>
        <rFont val="Times New Roman"/>
        <charset val="134"/>
      </rPr>
      <t>2020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22</t>
    </r>
    <r>
      <rPr>
        <sz val="10"/>
        <color theme="1"/>
        <rFont val="宋体"/>
        <charset val="134"/>
      </rPr>
      <t>日</t>
    </r>
    <r>
      <rPr>
        <sz val="10"/>
        <color theme="1"/>
        <rFont val="Times New Roman"/>
        <charset val="134"/>
      </rPr>
      <t>-2020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8</t>
    </r>
    <r>
      <rPr>
        <sz val="10"/>
        <color theme="1"/>
        <rFont val="宋体"/>
        <charset val="134"/>
      </rPr>
      <t>日</t>
    </r>
  </si>
  <si>
    <t>3月31日还本付息</t>
  </si>
  <si>
    <t>宁夏锦腾商贸有限公司</t>
  </si>
  <si>
    <t>日常生产经营周转</t>
  </si>
  <si>
    <r>
      <rPr>
        <sz val="10"/>
        <color theme="1"/>
        <rFont val="Times New Roman"/>
        <charset val="134"/>
      </rPr>
      <t>2020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日</t>
    </r>
    <r>
      <rPr>
        <sz val="10"/>
        <color theme="1"/>
        <rFont val="Times New Roman"/>
        <charset val="134"/>
      </rPr>
      <t>-2021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日</t>
    </r>
  </si>
  <si>
    <t>宁夏玺樽葡萄酒庄园有限公司</t>
  </si>
  <si>
    <t>宁夏银行新市区支行</t>
  </si>
  <si>
    <t>设备、酒庄建设钢结构</t>
  </si>
  <si>
    <r>
      <rPr>
        <sz val="10"/>
        <color theme="1"/>
        <rFont val="Times New Roman"/>
        <charset val="134"/>
      </rPr>
      <t>2020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26</t>
    </r>
    <r>
      <rPr>
        <sz val="10"/>
        <color theme="1"/>
        <rFont val="宋体"/>
        <charset val="134"/>
      </rPr>
      <t>日</t>
    </r>
    <r>
      <rPr>
        <sz val="10"/>
        <color theme="1"/>
        <rFont val="Times New Roman"/>
        <charset val="134"/>
      </rPr>
      <t>-2021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25</t>
    </r>
    <r>
      <rPr>
        <sz val="10"/>
        <color theme="1"/>
        <rFont val="宋体"/>
        <charset val="134"/>
      </rPr>
      <t>日</t>
    </r>
  </si>
  <si>
    <t>2020年3月续贷190万，计息开始日期为3月31日</t>
  </si>
  <si>
    <t>红寺堡区</t>
  </si>
  <si>
    <t>宁夏明雨农林牧开发有限公司</t>
  </si>
  <si>
    <t>黄河农村商业银行</t>
  </si>
  <si>
    <t>葡萄种植及加工</t>
  </si>
  <si>
    <r>
      <rPr>
        <sz val="10"/>
        <color theme="1"/>
        <rFont val="Times New Roman"/>
        <charset val="134"/>
      </rPr>
      <t>2020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19</t>
    </r>
    <r>
      <rPr>
        <sz val="10"/>
        <color theme="1"/>
        <rFont val="宋体"/>
        <charset val="134"/>
      </rPr>
      <t>日</t>
    </r>
    <r>
      <rPr>
        <sz val="10"/>
        <color theme="1"/>
        <rFont val="Times New Roman"/>
        <charset val="134"/>
      </rPr>
      <t>-2022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19</t>
    </r>
    <r>
      <rPr>
        <sz val="10"/>
        <color theme="1"/>
        <rFont val="宋体"/>
        <charset val="134"/>
      </rPr>
      <t>日</t>
    </r>
  </si>
  <si>
    <t>宁夏江源葡萄酒庄有限公司</t>
  </si>
  <si>
    <r>
      <rPr>
        <sz val="10"/>
        <color theme="1"/>
        <rFont val="Times New Roman"/>
        <charset val="134"/>
      </rPr>
      <t>2020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18</t>
    </r>
    <r>
      <rPr>
        <sz val="10"/>
        <color theme="1"/>
        <rFont val="宋体"/>
        <charset val="134"/>
      </rPr>
      <t>日</t>
    </r>
    <r>
      <rPr>
        <sz val="10"/>
        <color theme="1"/>
        <rFont val="Times New Roman"/>
        <charset val="134"/>
      </rPr>
      <t>-2021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18</t>
    </r>
    <r>
      <rPr>
        <sz val="10"/>
        <color theme="1"/>
        <rFont val="宋体"/>
        <charset val="134"/>
      </rPr>
      <t>日</t>
    </r>
  </si>
  <si>
    <r>
      <rPr>
        <sz val="10"/>
        <color theme="1"/>
        <rFont val="Times New Roman"/>
        <charset val="134"/>
      </rPr>
      <t>2020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14</t>
    </r>
    <r>
      <rPr>
        <sz val="10"/>
        <color theme="1"/>
        <rFont val="宋体"/>
        <charset val="134"/>
      </rPr>
      <t>日</t>
    </r>
    <r>
      <rPr>
        <sz val="10"/>
        <color theme="1"/>
        <rFont val="Times New Roman"/>
        <charset val="134"/>
      </rPr>
      <t>-2021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14</t>
    </r>
    <r>
      <rPr>
        <sz val="10"/>
        <color theme="1"/>
        <rFont val="宋体"/>
        <charset val="134"/>
      </rPr>
      <t>日</t>
    </r>
  </si>
  <si>
    <t>宁夏臻麓酒庄</t>
  </si>
  <si>
    <t>宁夏银行红寺堡支行</t>
  </si>
  <si>
    <t>葡萄款、包材款、人工工资</t>
  </si>
  <si>
    <r>
      <rPr>
        <sz val="10"/>
        <color theme="1"/>
        <rFont val="Times New Roman"/>
        <charset val="134"/>
      </rPr>
      <t>2020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9</t>
    </r>
    <r>
      <rPr>
        <sz val="10"/>
        <color theme="1"/>
        <rFont val="宋体"/>
        <charset val="134"/>
      </rPr>
      <t>日</t>
    </r>
    <r>
      <rPr>
        <sz val="10"/>
        <color theme="1"/>
        <rFont val="Times New Roman"/>
        <charset val="134"/>
      </rPr>
      <t>-2022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8</t>
    </r>
    <r>
      <rPr>
        <sz val="10"/>
        <color theme="1"/>
        <rFont val="宋体"/>
        <charset val="134"/>
      </rPr>
      <t>日</t>
    </r>
  </si>
  <si>
    <r>
      <rPr>
        <sz val="8"/>
        <color theme="1"/>
        <rFont val="宋体"/>
        <charset val="134"/>
      </rPr>
      <t>700万贷款授信额度，其中：3月19日使用500万，3月31日使用200万</t>
    </r>
    <r>
      <rPr>
        <sz val="8"/>
        <color rgb="FFFF0000"/>
        <rFont val="宋体"/>
        <charset val="134"/>
      </rPr>
      <t xml:space="preserve"> </t>
    </r>
  </si>
  <si>
    <t>宁夏中贺葡萄酒业有限公司</t>
  </si>
  <si>
    <t>葡萄款、包材款</t>
  </si>
  <si>
    <r>
      <rPr>
        <sz val="10"/>
        <color theme="1"/>
        <rFont val="Times New Roman"/>
        <charset val="134"/>
      </rPr>
      <t>2020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13</t>
    </r>
    <r>
      <rPr>
        <sz val="10"/>
        <color theme="1"/>
        <rFont val="宋体"/>
        <charset val="134"/>
      </rPr>
      <t>日</t>
    </r>
    <r>
      <rPr>
        <sz val="10"/>
        <color theme="1"/>
        <rFont val="Times New Roman"/>
        <charset val="134"/>
      </rPr>
      <t>-2021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12</t>
    </r>
    <r>
      <rPr>
        <sz val="10"/>
        <color theme="1"/>
        <rFont val="宋体"/>
        <charset val="134"/>
      </rPr>
      <t>日</t>
    </r>
  </si>
  <si>
    <t>宁夏东方裕兴酒庄有限公司</t>
  </si>
  <si>
    <t>红寺堡区农村信用合作社</t>
  </si>
  <si>
    <t>葡萄收购与购买材料</t>
  </si>
  <si>
    <r>
      <rPr>
        <sz val="10"/>
        <color theme="1"/>
        <rFont val="Times New Roman"/>
        <charset val="134"/>
      </rPr>
      <t>2020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15</t>
    </r>
    <r>
      <rPr>
        <sz val="10"/>
        <color theme="1"/>
        <rFont val="宋体"/>
        <charset val="134"/>
      </rPr>
      <t>日</t>
    </r>
    <r>
      <rPr>
        <sz val="10"/>
        <color theme="1"/>
        <rFont val="Times New Roman"/>
        <charset val="134"/>
      </rPr>
      <t>-2021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宋体"/>
        <charset val="134"/>
      </rPr>
      <t>日</t>
    </r>
  </si>
  <si>
    <t>葡萄种植及购买包装材料</t>
  </si>
  <si>
    <r>
      <rPr>
        <sz val="10"/>
        <color theme="1"/>
        <rFont val="Times New Roman"/>
        <charset val="134"/>
      </rPr>
      <t>2020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14</t>
    </r>
    <r>
      <rPr>
        <sz val="10"/>
        <color theme="1"/>
        <rFont val="宋体"/>
        <charset val="134"/>
      </rPr>
      <t>日</t>
    </r>
    <r>
      <rPr>
        <sz val="10"/>
        <color theme="1"/>
        <rFont val="Times New Roman"/>
        <charset val="134"/>
      </rPr>
      <t>-2021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13</t>
    </r>
    <r>
      <rPr>
        <sz val="10"/>
        <color theme="1"/>
        <rFont val="宋体"/>
        <charset val="134"/>
      </rPr>
      <t>日</t>
    </r>
  </si>
  <si>
    <t>青铜峡</t>
  </si>
  <si>
    <t>御马国际葡萄酒业（宁夏）有限公司</t>
  </si>
  <si>
    <t>建行</t>
  </si>
  <si>
    <t>生产经营周转</t>
  </si>
  <si>
    <r>
      <rPr>
        <sz val="10"/>
        <color theme="1"/>
        <rFont val="Times New Roman"/>
        <charset val="134"/>
      </rPr>
      <t>2020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21</t>
    </r>
    <r>
      <rPr>
        <sz val="10"/>
        <color theme="1"/>
        <rFont val="宋体"/>
        <charset val="134"/>
      </rPr>
      <t>日</t>
    </r>
    <r>
      <rPr>
        <sz val="10"/>
        <color theme="1"/>
        <rFont val="Times New Roman"/>
        <charset val="134"/>
      </rPr>
      <t>-2021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20</t>
    </r>
    <r>
      <rPr>
        <sz val="10"/>
        <color theme="1"/>
        <rFont val="宋体"/>
        <charset val="134"/>
      </rPr>
      <t>日</t>
    </r>
  </si>
  <si>
    <t>取得日期2月24日，第二季度还息至5月21日，之后和银行协商贷款到期一次性还本付息</t>
  </si>
  <si>
    <t>宁夏华昊葡萄酒有限公司</t>
  </si>
  <si>
    <t>邮储银行</t>
  </si>
  <si>
    <t>支付葡萄款</t>
  </si>
  <si>
    <r>
      <rPr>
        <sz val="10"/>
        <color theme="1"/>
        <rFont val="Times New Roman"/>
        <charset val="134"/>
      </rPr>
      <t>2020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日</t>
    </r>
    <r>
      <rPr>
        <sz val="10"/>
        <color theme="1"/>
        <rFont val="Times New Roman"/>
        <charset val="134"/>
      </rPr>
      <t>-2021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31</t>
    </r>
    <r>
      <rPr>
        <sz val="10"/>
        <color theme="1"/>
        <rFont val="宋体"/>
        <charset val="134"/>
      </rPr>
      <t>日</t>
    </r>
  </si>
  <si>
    <t>石嘴山银行</t>
  </si>
  <si>
    <r>
      <rPr>
        <sz val="10"/>
        <color theme="1"/>
        <rFont val="Times New Roman"/>
        <charset val="134"/>
      </rPr>
      <t>2020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20</t>
    </r>
    <r>
      <rPr>
        <sz val="10"/>
        <color theme="1"/>
        <rFont val="宋体"/>
        <charset val="134"/>
      </rPr>
      <t>日</t>
    </r>
    <r>
      <rPr>
        <sz val="10"/>
        <color theme="1"/>
        <rFont val="Times New Roman"/>
        <charset val="134"/>
      </rPr>
      <t>-2021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19</t>
    </r>
    <r>
      <rPr>
        <sz val="10"/>
        <color theme="1"/>
        <rFont val="宋体"/>
        <charset val="134"/>
      </rPr>
      <t>日</t>
    </r>
  </si>
  <si>
    <t>青铜峡市汇德农林科技有限公司</t>
  </si>
  <si>
    <t>青铜峡农村信用合作社</t>
  </si>
  <si>
    <t>借新还旧（原合同为购有机肥及栽种葡萄苗）</t>
  </si>
  <si>
    <r>
      <rPr>
        <sz val="10"/>
        <color theme="1"/>
        <rFont val="Times New Roman"/>
        <charset val="134"/>
      </rPr>
      <t>2020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29</t>
    </r>
    <r>
      <rPr>
        <sz val="10"/>
        <color theme="1"/>
        <rFont val="宋体"/>
        <charset val="134"/>
      </rPr>
      <t>日</t>
    </r>
    <r>
      <rPr>
        <sz val="10"/>
        <color theme="1"/>
        <rFont val="Times New Roman"/>
        <charset val="134"/>
      </rPr>
      <t>-2021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29</t>
    </r>
    <r>
      <rPr>
        <sz val="10"/>
        <color theme="1"/>
        <rFont val="宋体"/>
        <charset val="134"/>
      </rPr>
      <t>日</t>
    </r>
  </si>
  <si>
    <t>宁夏西鸽酒庄有限公司</t>
  </si>
  <si>
    <t>农发行</t>
  </si>
  <si>
    <t>企业生产经营</t>
  </si>
  <si>
    <r>
      <rPr>
        <sz val="10"/>
        <color theme="1"/>
        <rFont val="Times New Roman"/>
        <charset val="134"/>
      </rPr>
      <t>2020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18</t>
    </r>
    <r>
      <rPr>
        <sz val="10"/>
        <color theme="1"/>
        <rFont val="宋体"/>
        <charset val="134"/>
      </rPr>
      <t>日</t>
    </r>
    <r>
      <rPr>
        <sz val="10"/>
        <color theme="1"/>
        <rFont val="Times New Roman"/>
        <charset val="134"/>
      </rPr>
      <t>-2021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17</t>
    </r>
    <r>
      <rPr>
        <sz val="10"/>
        <color theme="1"/>
        <rFont val="宋体"/>
        <charset val="134"/>
      </rPr>
      <t>日</t>
    </r>
  </si>
  <si>
    <t>5月20日取得借款</t>
  </si>
  <si>
    <t>徐建峰</t>
  </si>
  <si>
    <t>葡萄种植及酿酒</t>
  </si>
  <si>
    <r>
      <rPr>
        <sz val="10"/>
        <color theme="1"/>
        <rFont val="Times New Roman"/>
        <charset val="134"/>
      </rPr>
      <t>2020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13</t>
    </r>
    <r>
      <rPr>
        <sz val="10"/>
        <color theme="1"/>
        <rFont val="宋体"/>
        <charset val="134"/>
      </rPr>
      <t>日</t>
    </r>
    <r>
      <rPr>
        <sz val="10"/>
        <color theme="1"/>
        <rFont val="Times New Roman"/>
        <charset val="134"/>
      </rPr>
      <t>-2022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12</t>
    </r>
    <r>
      <rPr>
        <sz val="10"/>
        <color theme="1"/>
        <rFont val="宋体"/>
        <charset val="134"/>
      </rPr>
      <t>日</t>
    </r>
  </si>
  <si>
    <t>100万为授信额度，根据额度使用情况，截至6月21日实际使用资金60万元，银行收取企业利息1735.43元，使用贷款贴息LPR3.85%计算得出应贴息458元，平均利息时间12天。</t>
  </si>
  <si>
    <t>青铜峡贺兰山村镇银行</t>
  </si>
  <si>
    <t>种植葡萄</t>
  </si>
  <si>
    <r>
      <rPr>
        <sz val="10"/>
        <color theme="1"/>
        <rFont val="Times New Roman"/>
        <charset val="134"/>
      </rPr>
      <t>2020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27</t>
    </r>
    <r>
      <rPr>
        <sz val="10"/>
        <color theme="1"/>
        <rFont val="宋体"/>
        <charset val="134"/>
      </rPr>
      <t>日</t>
    </r>
    <r>
      <rPr>
        <sz val="10"/>
        <color theme="1"/>
        <rFont val="Times New Roman"/>
        <charset val="134"/>
      </rPr>
      <t>-2021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26</t>
    </r>
    <r>
      <rPr>
        <sz val="10"/>
        <color theme="1"/>
        <rFont val="宋体"/>
        <charset val="134"/>
      </rPr>
      <t>日</t>
    </r>
  </si>
  <si>
    <t>王旭东</t>
  </si>
  <si>
    <t>宁夏西夏贺兰山村镇银行</t>
  </si>
  <si>
    <t>葡萄园种植</t>
  </si>
  <si>
    <r>
      <rPr>
        <sz val="10"/>
        <color theme="1"/>
        <rFont val="Times New Roman"/>
        <charset val="134"/>
      </rPr>
      <t>2020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日</t>
    </r>
    <r>
      <rPr>
        <sz val="10"/>
        <color theme="1"/>
        <rFont val="Times New Roman"/>
        <charset val="134"/>
      </rPr>
      <t>-2021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日</t>
    </r>
  </si>
  <si>
    <t>循环授信合同签订时间为2019年；第一次还款120万元有单据</t>
  </si>
  <si>
    <r>
      <rPr>
        <sz val="10"/>
        <color theme="1"/>
        <rFont val="Times New Roman"/>
        <charset val="134"/>
      </rPr>
      <t>2020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6</t>
    </r>
    <r>
      <rPr>
        <sz val="10"/>
        <color theme="1"/>
        <rFont val="宋体"/>
        <charset val="134"/>
      </rPr>
      <t>日</t>
    </r>
    <r>
      <rPr>
        <sz val="10"/>
        <color theme="1"/>
        <rFont val="Times New Roman"/>
        <charset val="134"/>
      </rPr>
      <t>-2021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日</t>
    </r>
  </si>
  <si>
    <t>宁夏银行</t>
  </si>
  <si>
    <t>购进化肥、支付劳务费</t>
  </si>
  <si>
    <r>
      <rPr>
        <sz val="10"/>
        <color theme="1"/>
        <rFont val="Times New Roman"/>
        <charset val="134"/>
      </rPr>
      <t>2020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23</t>
    </r>
    <r>
      <rPr>
        <sz val="10"/>
        <color theme="1"/>
        <rFont val="宋体"/>
        <charset val="134"/>
      </rPr>
      <t>日</t>
    </r>
    <r>
      <rPr>
        <sz val="10"/>
        <color theme="1"/>
        <rFont val="Times New Roman"/>
        <charset val="134"/>
      </rPr>
      <t>-2021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22</t>
    </r>
    <r>
      <rPr>
        <sz val="10"/>
        <color theme="1"/>
        <rFont val="宋体"/>
        <charset val="134"/>
      </rPr>
      <t>日</t>
    </r>
  </si>
  <si>
    <t>张毅</t>
  </si>
  <si>
    <r>
      <rPr>
        <sz val="10"/>
        <color theme="1"/>
        <rFont val="Times New Roman"/>
        <charset val="134"/>
      </rPr>
      <t>2020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20</t>
    </r>
    <r>
      <rPr>
        <sz val="10"/>
        <color theme="1"/>
        <rFont val="宋体"/>
        <charset val="134"/>
      </rPr>
      <t>日</t>
    </r>
    <r>
      <rPr>
        <sz val="10"/>
        <color theme="1"/>
        <rFont val="Times New Roman"/>
        <charset val="134"/>
      </rPr>
      <t>-2021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20</t>
    </r>
    <r>
      <rPr>
        <sz val="10"/>
        <color theme="1"/>
        <rFont val="宋体"/>
        <charset val="134"/>
      </rPr>
      <t>日</t>
    </r>
  </si>
  <si>
    <t>购包装材料</t>
  </si>
  <si>
    <r>
      <rPr>
        <sz val="10"/>
        <color theme="1"/>
        <rFont val="Times New Roman"/>
        <charset val="134"/>
      </rPr>
      <t>2020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6</t>
    </r>
    <r>
      <rPr>
        <sz val="10"/>
        <color theme="1"/>
        <rFont val="宋体"/>
        <charset val="134"/>
      </rPr>
      <t>日</t>
    </r>
    <r>
      <rPr>
        <sz val="10"/>
        <color theme="1"/>
        <rFont val="Times New Roman"/>
        <charset val="134"/>
      </rPr>
      <t>-2021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日</t>
    </r>
  </si>
  <si>
    <t>葡萄种植</t>
  </si>
  <si>
    <r>
      <rPr>
        <sz val="10"/>
        <color theme="1"/>
        <rFont val="Times New Roman"/>
        <charset val="134"/>
      </rPr>
      <t>2020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8</t>
    </r>
    <r>
      <rPr>
        <sz val="10"/>
        <color theme="1"/>
        <rFont val="宋体"/>
        <charset val="134"/>
      </rPr>
      <t>日</t>
    </r>
    <r>
      <rPr>
        <sz val="10"/>
        <color theme="1"/>
        <rFont val="Times New Roman"/>
        <charset val="134"/>
      </rPr>
      <t>-2021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8</t>
    </r>
    <r>
      <rPr>
        <sz val="10"/>
        <color theme="1"/>
        <rFont val="宋体"/>
        <charset val="134"/>
      </rPr>
      <t>日</t>
    </r>
  </si>
  <si>
    <t>授信借款合同总额10万元</t>
  </si>
  <si>
    <r>
      <rPr>
        <sz val="10"/>
        <color theme="1"/>
        <rFont val="Times New Roman"/>
        <charset val="134"/>
      </rPr>
      <t>2020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15</t>
    </r>
    <r>
      <rPr>
        <sz val="10"/>
        <color theme="1"/>
        <rFont val="宋体"/>
        <charset val="134"/>
      </rPr>
      <t>日</t>
    </r>
    <r>
      <rPr>
        <sz val="10"/>
        <color theme="1"/>
        <rFont val="Times New Roman"/>
        <charset val="134"/>
      </rPr>
      <t>-2021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8</t>
    </r>
    <r>
      <rPr>
        <sz val="10"/>
        <color theme="1"/>
        <rFont val="宋体"/>
        <charset val="134"/>
      </rPr>
      <t>日</t>
    </r>
  </si>
  <si>
    <t>段成春</t>
  </si>
  <si>
    <t>农行</t>
  </si>
  <si>
    <r>
      <rPr>
        <sz val="10"/>
        <color theme="1"/>
        <rFont val="Times New Roman"/>
        <charset val="134"/>
      </rPr>
      <t>2020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20</t>
    </r>
    <r>
      <rPr>
        <sz val="10"/>
        <color theme="1"/>
        <rFont val="宋体"/>
        <charset val="134"/>
      </rPr>
      <t>日</t>
    </r>
    <r>
      <rPr>
        <sz val="10"/>
        <color theme="1"/>
        <rFont val="Times New Roman"/>
        <charset val="134"/>
      </rPr>
      <t>-2021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19</t>
    </r>
    <r>
      <rPr>
        <sz val="10"/>
        <color theme="1"/>
        <rFont val="宋体"/>
        <charset val="134"/>
      </rPr>
      <t>日</t>
    </r>
  </si>
  <si>
    <t>合同签订时间为2018年，循环授信合同</t>
  </si>
  <si>
    <r>
      <rPr>
        <sz val="10"/>
        <color theme="1"/>
        <rFont val="Times New Roman"/>
        <charset val="134"/>
      </rPr>
      <t>2020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21</t>
    </r>
    <r>
      <rPr>
        <sz val="10"/>
        <color theme="1"/>
        <rFont val="宋体"/>
        <charset val="134"/>
      </rPr>
      <t>日</t>
    </r>
    <r>
      <rPr>
        <sz val="10"/>
        <color theme="1"/>
        <rFont val="Times New Roman"/>
        <charset val="134"/>
      </rPr>
      <t>-2021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21</t>
    </r>
    <r>
      <rPr>
        <sz val="10"/>
        <color theme="1"/>
        <rFont val="宋体"/>
        <charset val="134"/>
      </rPr>
      <t>日</t>
    </r>
  </si>
  <si>
    <t>西夏区</t>
  </si>
  <si>
    <t>宁夏贺兰亭酒庄有限公司</t>
  </si>
  <si>
    <t>购葡萄原酒</t>
  </si>
  <si>
    <r>
      <rPr>
        <sz val="10"/>
        <color theme="1"/>
        <rFont val="Times New Roman"/>
        <charset val="134"/>
      </rPr>
      <t>2020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19</t>
    </r>
    <r>
      <rPr>
        <sz val="10"/>
        <color theme="1"/>
        <rFont val="宋体"/>
        <charset val="134"/>
      </rPr>
      <t>日</t>
    </r>
    <r>
      <rPr>
        <sz val="10"/>
        <color theme="1"/>
        <rFont val="Times New Roman"/>
        <charset val="134"/>
      </rPr>
      <t>-2021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18</t>
    </r>
    <r>
      <rPr>
        <sz val="10"/>
        <color theme="1"/>
        <rFont val="宋体"/>
        <charset val="134"/>
      </rPr>
      <t>日</t>
    </r>
  </si>
  <si>
    <t>取得贷款1月22日</t>
  </si>
  <si>
    <t>宁夏留世葡萄酒庄有限公司</t>
  </si>
  <si>
    <t>宁夏黄河农村商业银行</t>
  </si>
  <si>
    <t>借新还旧（原合同为购买原料）</t>
  </si>
  <si>
    <r>
      <rPr>
        <sz val="10"/>
        <color theme="1"/>
        <rFont val="Times New Roman"/>
        <charset val="134"/>
      </rPr>
      <t>2020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23</t>
    </r>
    <r>
      <rPr>
        <sz val="10"/>
        <color theme="1"/>
        <rFont val="宋体"/>
        <charset val="134"/>
      </rPr>
      <t>日</t>
    </r>
    <r>
      <rPr>
        <sz val="10"/>
        <color theme="1"/>
        <rFont val="Times New Roman"/>
        <charset val="134"/>
      </rPr>
      <t>-2021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23</t>
    </r>
    <r>
      <rPr>
        <sz val="10"/>
        <color theme="1"/>
        <rFont val="宋体"/>
        <charset val="134"/>
      </rPr>
      <t>日</t>
    </r>
  </si>
  <si>
    <t>宁夏九月兰山酒庄（有限公司）</t>
  </si>
  <si>
    <t>中国银行</t>
  </si>
  <si>
    <t>借新还旧（原合同为购买葡萄苗等原料）</t>
  </si>
  <si>
    <r>
      <rPr>
        <sz val="10"/>
        <color theme="1"/>
        <rFont val="Times New Roman"/>
        <charset val="134"/>
      </rPr>
      <t>2020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12</t>
    </r>
    <r>
      <rPr>
        <sz val="10"/>
        <color theme="1"/>
        <rFont val="宋体"/>
        <charset val="134"/>
      </rPr>
      <t>日</t>
    </r>
    <r>
      <rPr>
        <sz val="10"/>
        <color theme="1"/>
        <rFont val="Times New Roman"/>
        <charset val="134"/>
      </rPr>
      <t>-2021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12</t>
    </r>
    <r>
      <rPr>
        <sz val="10"/>
        <color theme="1"/>
        <rFont val="宋体"/>
        <charset val="134"/>
      </rPr>
      <t>日</t>
    </r>
  </si>
  <si>
    <t>银川名麓葡萄酒庄有限公司</t>
  </si>
  <si>
    <t>中国农业银行</t>
  </si>
  <si>
    <t>生产经营</t>
  </si>
  <si>
    <r>
      <rPr>
        <sz val="10"/>
        <color theme="1"/>
        <rFont val="Times New Roman"/>
        <charset val="134"/>
      </rPr>
      <t>2020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23</t>
    </r>
    <r>
      <rPr>
        <sz val="10"/>
        <color theme="1"/>
        <rFont val="宋体"/>
        <charset val="134"/>
      </rPr>
      <t>日</t>
    </r>
    <r>
      <rPr>
        <sz val="10"/>
        <color theme="1"/>
        <rFont val="Times New Roman"/>
        <charset val="134"/>
      </rPr>
      <t>-2021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22</t>
    </r>
    <r>
      <rPr>
        <sz val="10"/>
        <color theme="1"/>
        <rFont val="宋体"/>
        <charset val="134"/>
      </rPr>
      <t>日</t>
    </r>
  </si>
  <si>
    <t>金凤区</t>
  </si>
  <si>
    <t>宁夏利思葡萄酒庄有限公司</t>
  </si>
  <si>
    <t>购橡木桶</t>
  </si>
  <si>
    <t>取得贷款4月30日</t>
  </si>
  <si>
    <t>永宁县</t>
  </si>
  <si>
    <t>宁夏德龙酒业有限公司</t>
  </si>
  <si>
    <t>德龙6200亩酿酒葡萄产业化种植项目</t>
  </si>
  <si>
    <r>
      <rPr>
        <sz val="10"/>
        <color theme="1"/>
        <rFont val="Times New Roman"/>
        <charset val="134"/>
      </rPr>
      <t>2020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31</t>
    </r>
    <r>
      <rPr>
        <sz val="10"/>
        <color theme="1"/>
        <rFont val="宋体"/>
        <charset val="134"/>
      </rPr>
      <t>日</t>
    </r>
    <r>
      <rPr>
        <sz val="10"/>
        <color theme="1"/>
        <rFont val="Times New Roman"/>
        <charset val="134"/>
      </rPr>
      <t>-2027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30</t>
    </r>
    <r>
      <rPr>
        <sz val="10"/>
        <color theme="1"/>
        <rFont val="宋体"/>
        <charset val="134"/>
      </rPr>
      <t>日</t>
    </r>
  </si>
  <si>
    <t>取得贷款4月2日</t>
  </si>
  <si>
    <t>宁夏长和翡翠酒庄有限公司</t>
  </si>
  <si>
    <t>购原材料、橡木桶等</t>
  </si>
  <si>
    <r>
      <rPr>
        <sz val="10"/>
        <color theme="1"/>
        <rFont val="Times New Roman"/>
        <charset val="134"/>
      </rPr>
      <t>2020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22</t>
    </r>
    <r>
      <rPr>
        <sz val="10"/>
        <color theme="1"/>
        <rFont val="宋体"/>
        <charset val="134"/>
      </rPr>
      <t>日</t>
    </r>
    <r>
      <rPr>
        <sz val="10"/>
        <color theme="1"/>
        <rFont val="Times New Roman"/>
        <charset val="134"/>
      </rPr>
      <t>-2021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21</t>
    </r>
    <r>
      <rPr>
        <sz val="10"/>
        <color theme="1"/>
        <rFont val="宋体"/>
        <charset val="134"/>
      </rPr>
      <t>日</t>
    </r>
  </si>
  <si>
    <t>合计</t>
  </si>
  <si>
    <t>备注1:2020年第一二季度申报贴息的市县区6个，分别为贺兰县、红寺堡、青铜峡、西夏区、金凤区、永宁县；</t>
  </si>
  <si>
    <t>备注2：依据《2020年酿酒葡萄产业贴息项目资金实施细则》相关规定，符合贴息补助条件有25家酒庄（企业）和种植大户34笔贷款，总贷款额19124.74万元，其中续贷资金1678.8万元，新增贷款17445.94万元；</t>
  </si>
  <si>
    <t>备注3：2020年第一、二季度共计申请贴息补助97.63万元。</t>
  </si>
  <si>
    <t>备注4：种植大户贴息具备条件为一是贷款用途用于种植、生产经营等；二是种植葡萄基地的土地是以贷款个人取得的。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</si>
</sst>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8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0" fillId="1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7" fillId="26" borderId="13" applyNumberFormat="0" applyAlignment="0" applyProtection="0">
      <alignment vertical="center"/>
    </xf>
    <xf numFmtId="0" fontId="25" fillId="26" borderId="10" applyNumberFormat="0" applyAlignment="0" applyProtection="0">
      <alignment vertical="center"/>
    </xf>
    <xf numFmtId="0" fontId="23" fillId="23" borderId="12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3" fontId="4" fillId="0" borderId="1" xfId="8" applyFont="1" applyBorder="1" applyAlignment="1">
      <alignment horizontal="center" vertical="center" wrapText="1"/>
    </xf>
    <xf numFmtId="43" fontId="4" fillId="0" borderId="1" xfId="8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vertical="center" wrapText="1" shrinkToFit="1"/>
    </xf>
    <xf numFmtId="43" fontId="4" fillId="0" borderId="1" xfId="8" applyFont="1" applyBorder="1" applyAlignment="1">
      <alignment horizontal="center" vertical="center"/>
    </xf>
    <xf numFmtId="43" fontId="4" fillId="0" borderId="1" xfId="8" applyFont="1" applyBorder="1" applyAlignment="1">
      <alignment vertical="center"/>
    </xf>
    <xf numFmtId="43" fontId="3" fillId="0" borderId="1" xfId="8" applyFont="1" applyBorder="1">
      <alignment vertical="center"/>
    </xf>
    <xf numFmtId="43" fontId="3" fillId="0" borderId="1" xfId="8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3" fontId="4" fillId="0" borderId="0" xfId="8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46"/>
  <sheetViews>
    <sheetView tabSelected="1" topLeftCell="A9" workbookViewId="0">
      <selection activeCell="A1" sqref="A1:O1"/>
    </sheetView>
  </sheetViews>
  <sheetFormatPr defaultColWidth="14.4166666666667" defaultRowHeight="13.5"/>
  <cols>
    <col min="1" max="1" width="3.75" style="1" customWidth="1"/>
    <col min="2" max="2" width="5.375" style="1" customWidth="1"/>
    <col min="3" max="3" width="12" style="1" customWidth="1"/>
    <col min="4" max="4" width="11" style="1" customWidth="1"/>
    <col min="5" max="5" width="13.5" style="1" customWidth="1"/>
    <col min="6" max="6" width="7.5" style="1" customWidth="1"/>
    <col min="7" max="7" width="8" style="1" customWidth="1"/>
    <col min="8" max="8" width="12.375" style="1" customWidth="1"/>
    <col min="9" max="9" width="10.75" style="1" customWidth="1"/>
    <col min="10" max="10" width="7" style="1" customWidth="1"/>
    <col min="11" max="11" width="8.75" style="1" customWidth="1"/>
    <col min="12" max="12" width="8.375" style="1" customWidth="1"/>
    <col min="13" max="13" width="8.125" style="1" customWidth="1"/>
    <col min="14" max="14" width="7.25" style="1" customWidth="1"/>
    <col min="15" max="15" width="19.25" style="1" customWidth="1"/>
    <col min="16" max="16383" width="14.4166666666667" style="1" customWidth="1"/>
    <col min="16384" max="16384" width="14.4166666666667" style="1"/>
  </cols>
  <sheetData>
    <row r="1" s="1" customFormat="1" ht="29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20" customHeight="1" spans="1: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2" t="s">
        <v>1</v>
      </c>
      <c r="N2" s="2"/>
      <c r="O2" s="2"/>
    </row>
    <row r="3" s="2" customFormat="1" ht="40" customHeight="1" spans="1:15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5" t="s">
        <v>7</v>
      </c>
      <c r="G3" s="5" t="s">
        <v>8</v>
      </c>
      <c r="H3" s="6" t="s">
        <v>9</v>
      </c>
      <c r="I3" s="32" t="s">
        <v>10</v>
      </c>
      <c r="J3" s="32" t="s">
        <v>11</v>
      </c>
      <c r="K3" s="6" t="s">
        <v>12</v>
      </c>
      <c r="L3" s="5" t="s">
        <v>13</v>
      </c>
      <c r="M3" s="5" t="s">
        <v>14</v>
      </c>
      <c r="N3" s="5" t="s">
        <v>15</v>
      </c>
      <c r="O3" s="6" t="s">
        <v>16</v>
      </c>
    </row>
    <row r="4" s="2" customFormat="1" ht="26" customHeight="1" spans="1:15">
      <c r="A4" s="7">
        <v>1</v>
      </c>
      <c r="B4" s="7" t="s">
        <v>17</v>
      </c>
      <c r="C4" s="8" t="s">
        <v>18</v>
      </c>
      <c r="D4" s="9" t="s">
        <v>19</v>
      </c>
      <c r="E4" s="10" t="s">
        <v>20</v>
      </c>
      <c r="F4" s="10" t="s">
        <v>21</v>
      </c>
      <c r="G4" s="7">
        <v>610</v>
      </c>
      <c r="H4" s="11" t="s">
        <v>22</v>
      </c>
      <c r="I4" s="33">
        <v>0.0405</v>
      </c>
      <c r="J4" s="34">
        <v>87</v>
      </c>
      <c r="K4" s="35">
        <v>660</v>
      </c>
      <c r="L4" s="10"/>
      <c r="M4" s="35">
        <f>K4*I4/360*87*0.6</f>
        <v>3.87585</v>
      </c>
      <c r="N4" s="36">
        <f t="shared" ref="N4:N40" si="0">L4+M4</f>
        <v>3.87585</v>
      </c>
      <c r="O4" s="10"/>
    </row>
    <row r="5" s="2" customFormat="1" ht="32" customHeight="1" spans="1:15">
      <c r="A5" s="12"/>
      <c r="B5" s="13"/>
      <c r="C5" s="14"/>
      <c r="D5" s="9" t="s">
        <v>23</v>
      </c>
      <c r="E5" s="15" t="s">
        <v>24</v>
      </c>
      <c r="F5" s="10" t="s">
        <v>21</v>
      </c>
      <c r="G5" s="12"/>
      <c r="H5" s="11" t="s">
        <v>25</v>
      </c>
      <c r="I5" s="33">
        <v>0.0385</v>
      </c>
      <c r="J5" s="34">
        <v>10</v>
      </c>
      <c r="K5" s="35">
        <v>1000</v>
      </c>
      <c r="L5" s="10"/>
      <c r="M5" s="35">
        <f>K5*I5/360*10*0.6</f>
        <v>0.641666666666667</v>
      </c>
      <c r="N5" s="36">
        <f t="shared" si="0"/>
        <v>0.641666666666667</v>
      </c>
      <c r="O5" s="10"/>
    </row>
    <row r="6" s="3" customFormat="1" ht="29" customHeight="1" spans="1:15">
      <c r="A6" s="11">
        <v>2</v>
      </c>
      <c r="B6" s="13"/>
      <c r="C6" s="15" t="s">
        <v>26</v>
      </c>
      <c r="D6" s="15" t="s">
        <v>27</v>
      </c>
      <c r="E6" s="15" t="s">
        <v>28</v>
      </c>
      <c r="F6" s="10" t="s">
        <v>21</v>
      </c>
      <c r="G6" s="8">
        <v>800</v>
      </c>
      <c r="H6" s="11" t="s">
        <v>29</v>
      </c>
      <c r="I6" s="33">
        <v>0.0415</v>
      </c>
      <c r="J6" s="34">
        <v>99</v>
      </c>
      <c r="K6" s="35">
        <v>450</v>
      </c>
      <c r="L6" s="35">
        <f>K6*I6/360*7*0.6</f>
        <v>0.217875</v>
      </c>
      <c r="M6" s="35">
        <f>K6*I6/360*92*0.6</f>
        <v>2.8635</v>
      </c>
      <c r="N6" s="36">
        <f t="shared" si="0"/>
        <v>3.081375</v>
      </c>
      <c r="O6" s="15" t="s">
        <v>30</v>
      </c>
    </row>
    <row r="7" s="1" customFormat="1" ht="37" customHeight="1" spans="1:15">
      <c r="A7" s="11"/>
      <c r="B7" s="13"/>
      <c r="C7" s="15"/>
      <c r="D7" s="9" t="s">
        <v>31</v>
      </c>
      <c r="E7" s="15" t="s">
        <v>32</v>
      </c>
      <c r="F7" s="10" t="s">
        <v>21</v>
      </c>
      <c r="G7" s="14"/>
      <c r="H7" s="11" t="s">
        <v>33</v>
      </c>
      <c r="I7" s="33">
        <v>0.0385</v>
      </c>
      <c r="J7" s="34">
        <v>30</v>
      </c>
      <c r="K7" s="35">
        <v>400</v>
      </c>
      <c r="L7" s="37"/>
      <c r="M7" s="35">
        <f>K7*I7/360*30*0.6</f>
        <v>0.77</v>
      </c>
      <c r="N7" s="36">
        <f t="shared" si="0"/>
        <v>0.77</v>
      </c>
      <c r="O7" s="37"/>
    </row>
    <row r="8" s="1" customFormat="1" ht="28" customHeight="1" spans="1:15">
      <c r="A8" s="10">
        <v>3</v>
      </c>
      <c r="B8" s="13"/>
      <c r="C8" s="15" t="s">
        <v>34</v>
      </c>
      <c r="D8" s="9" t="s">
        <v>35</v>
      </c>
      <c r="E8" s="10" t="s">
        <v>36</v>
      </c>
      <c r="F8" s="16" t="s">
        <v>37</v>
      </c>
      <c r="G8" s="10">
        <v>1500</v>
      </c>
      <c r="H8" s="11" t="s">
        <v>38</v>
      </c>
      <c r="I8" s="33">
        <v>0.0415</v>
      </c>
      <c r="J8" s="34">
        <v>69</v>
      </c>
      <c r="K8" s="35">
        <v>24.8</v>
      </c>
      <c r="L8" s="38">
        <f>K8*I8/360*69*0.6</f>
        <v>0.118358</v>
      </c>
      <c r="M8" s="39"/>
      <c r="N8" s="36">
        <f t="shared" si="0"/>
        <v>0.118358</v>
      </c>
      <c r="O8" s="9" t="s">
        <v>39</v>
      </c>
    </row>
    <row r="9" s="1" customFormat="1" ht="27" customHeight="1" spans="1:15">
      <c r="A9" s="10">
        <v>4</v>
      </c>
      <c r="B9" s="13"/>
      <c r="C9" s="15" t="s">
        <v>40</v>
      </c>
      <c r="D9" s="15" t="s">
        <v>27</v>
      </c>
      <c r="E9" s="10" t="s">
        <v>41</v>
      </c>
      <c r="F9" s="10" t="s">
        <v>21</v>
      </c>
      <c r="G9" s="10">
        <v>1000</v>
      </c>
      <c r="H9" s="11" t="s">
        <v>42</v>
      </c>
      <c r="I9" s="33">
        <v>0.0405</v>
      </c>
      <c r="J9" s="34">
        <v>78</v>
      </c>
      <c r="K9" s="35">
        <v>15.94</v>
      </c>
      <c r="L9" s="37"/>
      <c r="M9" s="35">
        <f>K9*I9/360*78*0.6</f>
        <v>0.0839241</v>
      </c>
      <c r="N9" s="36">
        <f t="shared" si="0"/>
        <v>0.0839241</v>
      </c>
      <c r="O9" s="15"/>
    </row>
    <row r="10" s="1" customFormat="1" ht="31" customHeight="1" spans="1:15">
      <c r="A10" s="10">
        <v>5</v>
      </c>
      <c r="B10" s="12"/>
      <c r="C10" s="15" t="s">
        <v>43</v>
      </c>
      <c r="D10" s="9" t="s">
        <v>44</v>
      </c>
      <c r="E10" s="15" t="s">
        <v>45</v>
      </c>
      <c r="F10" s="17" t="s">
        <v>37</v>
      </c>
      <c r="G10" s="15">
        <v>400</v>
      </c>
      <c r="H10" s="11" t="s">
        <v>46</v>
      </c>
      <c r="I10" s="33">
        <v>0.0405</v>
      </c>
      <c r="J10" s="34">
        <v>82</v>
      </c>
      <c r="K10" s="35">
        <v>190</v>
      </c>
      <c r="L10" s="37"/>
      <c r="M10" s="35">
        <f>K10*I10/360*82*0.6</f>
        <v>1.05165</v>
      </c>
      <c r="N10" s="36">
        <f t="shared" si="0"/>
        <v>1.05165</v>
      </c>
      <c r="O10" s="40" t="s">
        <v>47</v>
      </c>
    </row>
    <row r="11" s="1" customFormat="1" ht="24" customHeight="1" spans="1:15">
      <c r="A11" s="11">
        <v>6</v>
      </c>
      <c r="B11" s="18" t="s">
        <v>48</v>
      </c>
      <c r="C11" s="15" t="s">
        <v>49</v>
      </c>
      <c r="D11" s="15" t="s">
        <v>50</v>
      </c>
      <c r="E11" s="15" t="s">
        <v>51</v>
      </c>
      <c r="F11" s="15" t="s">
        <v>21</v>
      </c>
      <c r="G11" s="15">
        <v>440</v>
      </c>
      <c r="H11" s="11" t="s">
        <v>52</v>
      </c>
      <c r="I11" s="33">
        <v>0.0415</v>
      </c>
      <c r="J11" s="34">
        <v>154</v>
      </c>
      <c r="K11" s="35">
        <v>200</v>
      </c>
      <c r="L11" s="35">
        <f>K11*I11/360*62*0.6</f>
        <v>0.857666666666667</v>
      </c>
      <c r="M11" s="35">
        <f t="shared" ref="M11:M16" si="1">K11*I11/360*92*0.6</f>
        <v>1.27266666666667</v>
      </c>
      <c r="N11" s="36">
        <f t="shared" si="0"/>
        <v>2.13033333333333</v>
      </c>
      <c r="O11" s="17"/>
    </row>
    <row r="12" s="1" customFormat="1" ht="25.5" spans="1:15">
      <c r="A12" s="11">
        <v>7</v>
      </c>
      <c r="B12" s="11"/>
      <c r="C12" s="15" t="s">
        <v>53</v>
      </c>
      <c r="D12" s="15" t="s">
        <v>50</v>
      </c>
      <c r="E12" s="15" t="s">
        <v>51</v>
      </c>
      <c r="F12" s="17" t="s">
        <v>37</v>
      </c>
      <c r="G12" s="8">
        <v>600</v>
      </c>
      <c r="H12" s="11" t="s">
        <v>54</v>
      </c>
      <c r="I12" s="33">
        <v>0.0405</v>
      </c>
      <c r="J12" s="34">
        <v>95</v>
      </c>
      <c r="K12" s="35">
        <v>140</v>
      </c>
      <c r="L12" s="35">
        <f>K12*I12/360*3*0.6</f>
        <v>0.02835</v>
      </c>
      <c r="M12" s="35">
        <f t="shared" si="1"/>
        <v>0.8694</v>
      </c>
      <c r="N12" s="36">
        <f t="shared" si="0"/>
        <v>0.89775</v>
      </c>
      <c r="O12" s="41"/>
    </row>
    <row r="13" s="1" customFormat="1" ht="25" customHeight="1" spans="1:15">
      <c r="A13" s="11"/>
      <c r="B13" s="11"/>
      <c r="C13" s="15"/>
      <c r="D13" s="15"/>
      <c r="E13" s="15"/>
      <c r="F13" s="15" t="s">
        <v>21</v>
      </c>
      <c r="G13" s="14"/>
      <c r="H13" s="11" t="s">
        <v>55</v>
      </c>
      <c r="I13" s="33">
        <v>0.0405</v>
      </c>
      <c r="J13" s="34">
        <v>68</v>
      </c>
      <c r="K13" s="35">
        <v>60</v>
      </c>
      <c r="L13" s="35"/>
      <c r="M13" s="35">
        <f>K13*I13/360*68*0.6</f>
        <v>0.2754</v>
      </c>
      <c r="N13" s="36">
        <f t="shared" si="0"/>
        <v>0.2754</v>
      </c>
      <c r="O13" s="42"/>
    </row>
    <row r="14" s="1" customFormat="1" ht="34" customHeight="1" spans="1:15">
      <c r="A14" s="11">
        <v>8</v>
      </c>
      <c r="B14" s="11"/>
      <c r="C14" s="15" t="s">
        <v>56</v>
      </c>
      <c r="D14" s="15" t="s">
        <v>57</v>
      </c>
      <c r="E14" s="15" t="s">
        <v>58</v>
      </c>
      <c r="F14" s="15" t="s">
        <v>21</v>
      </c>
      <c r="G14" s="15">
        <v>885</v>
      </c>
      <c r="H14" s="11" t="s">
        <v>59</v>
      </c>
      <c r="I14" s="33">
        <v>0.0405</v>
      </c>
      <c r="J14" s="43">
        <v>94</v>
      </c>
      <c r="K14" s="35">
        <v>700</v>
      </c>
      <c r="L14" s="35">
        <f>K14*I14/360*2*0.6</f>
        <v>0.0945</v>
      </c>
      <c r="M14" s="35">
        <f>K14*I14/360*82*0.6+500*I14/360*10*0.6</f>
        <v>4.212</v>
      </c>
      <c r="N14" s="36">
        <f t="shared" si="0"/>
        <v>4.3065</v>
      </c>
      <c r="O14" s="44" t="s">
        <v>60</v>
      </c>
    </row>
    <row r="15" s="1" customFormat="1" ht="25.5" spans="1:15">
      <c r="A15" s="11">
        <v>9</v>
      </c>
      <c r="B15" s="11"/>
      <c r="C15" s="15" t="s">
        <v>61</v>
      </c>
      <c r="D15" s="15" t="s">
        <v>57</v>
      </c>
      <c r="E15" s="15" t="s">
        <v>62</v>
      </c>
      <c r="F15" s="15" t="s">
        <v>21</v>
      </c>
      <c r="G15" s="15">
        <v>0</v>
      </c>
      <c r="H15" s="11" t="s">
        <v>63</v>
      </c>
      <c r="I15" s="33">
        <v>0.0405</v>
      </c>
      <c r="J15" s="43">
        <v>100</v>
      </c>
      <c r="K15" s="35">
        <v>90</v>
      </c>
      <c r="L15" s="35">
        <f>K15*I15/360*8*0.6</f>
        <v>0.0486</v>
      </c>
      <c r="M15" s="35">
        <f t="shared" si="1"/>
        <v>0.5589</v>
      </c>
      <c r="N15" s="36">
        <f t="shared" si="0"/>
        <v>0.6075</v>
      </c>
      <c r="O15" s="17"/>
    </row>
    <row r="16" s="1" customFormat="1" ht="25.5" spans="1:15">
      <c r="A16" s="19">
        <v>10</v>
      </c>
      <c r="B16" s="11"/>
      <c r="C16" s="15" t="s">
        <v>64</v>
      </c>
      <c r="D16" s="15" t="s">
        <v>65</v>
      </c>
      <c r="E16" s="15" t="s">
        <v>66</v>
      </c>
      <c r="F16" s="15" t="s">
        <v>21</v>
      </c>
      <c r="G16" s="8">
        <v>700</v>
      </c>
      <c r="H16" s="11" t="s">
        <v>67</v>
      </c>
      <c r="I16" s="33">
        <v>0.0415</v>
      </c>
      <c r="J16" s="43">
        <v>158</v>
      </c>
      <c r="K16" s="45">
        <v>200</v>
      </c>
      <c r="L16" s="35">
        <f>K16*I16/360*66*0.6</f>
        <v>0.913</v>
      </c>
      <c r="M16" s="35">
        <f t="shared" si="1"/>
        <v>1.27266666666667</v>
      </c>
      <c r="N16" s="36">
        <f t="shared" si="0"/>
        <v>2.18566666666667</v>
      </c>
      <c r="O16" s="41"/>
    </row>
    <row r="17" s="1" customFormat="1" ht="25.5" spans="1:15">
      <c r="A17" s="19"/>
      <c r="B17" s="11"/>
      <c r="C17" s="15"/>
      <c r="D17" s="15"/>
      <c r="E17" s="15" t="s">
        <v>68</v>
      </c>
      <c r="F17" s="15" t="s">
        <v>21</v>
      </c>
      <c r="G17" s="14"/>
      <c r="H17" s="11" t="s">
        <v>69</v>
      </c>
      <c r="I17" s="33">
        <v>0.0405</v>
      </c>
      <c r="J17" s="43">
        <v>68</v>
      </c>
      <c r="K17" s="45">
        <v>300</v>
      </c>
      <c r="L17" s="10"/>
      <c r="M17" s="35">
        <f>K17*I17/360*68*0.6</f>
        <v>1.377</v>
      </c>
      <c r="N17" s="36">
        <f t="shared" si="0"/>
        <v>1.377</v>
      </c>
      <c r="O17" s="42"/>
    </row>
    <row r="18" s="1" customFormat="1" ht="55" customHeight="1" spans="1:15">
      <c r="A18" s="10">
        <v>11</v>
      </c>
      <c r="B18" s="7" t="s">
        <v>70</v>
      </c>
      <c r="C18" s="15" t="s">
        <v>71</v>
      </c>
      <c r="D18" s="10" t="s">
        <v>72</v>
      </c>
      <c r="E18" s="10" t="s">
        <v>73</v>
      </c>
      <c r="F18" s="10" t="s">
        <v>21</v>
      </c>
      <c r="G18" s="10">
        <v>17000</v>
      </c>
      <c r="H18" s="11" t="s">
        <v>74</v>
      </c>
      <c r="I18" s="33">
        <v>0.0405</v>
      </c>
      <c r="J18" s="43">
        <f>26+61</f>
        <v>87</v>
      </c>
      <c r="K18" s="35">
        <v>900</v>
      </c>
      <c r="L18" s="35">
        <f>K18*I18/360*26*0.6</f>
        <v>1.5795</v>
      </c>
      <c r="M18" s="46">
        <f>K18*I18/360*61*0.6</f>
        <v>3.70575</v>
      </c>
      <c r="N18" s="36">
        <f t="shared" si="0"/>
        <v>5.28525</v>
      </c>
      <c r="O18" s="15" t="s">
        <v>75</v>
      </c>
    </row>
    <row r="19" s="1" customFormat="1" ht="25.5" spans="1:15">
      <c r="A19" s="19">
        <v>12</v>
      </c>
      <c r="B19" s="13"/>
      <c r="C19" s="15" t="s">
        <v>76</v>
      </c>
      <c r="D19" s="10" t="s">
        <v>77</v>
      </c>
      <c r="E19" s="10" t="s">
        <v>78</v>
      </c>
      <c r="F19" s="10" t="s">
        <v>21</v>
      </c>
      <c r="G19" s="7">
        <v>900</v>
      </c>
      <c r="H19" s="11" t="s">
        <v>79</v>
      </c>
      <c r="I19" s="33">
        <v>0.0405</v>
      </c>
      <c r="J19" s="43">
        <f>80</f>
        <v>80</v>
      </c>
      <c r="K19" s="35">
        <v>145</v>
      </c>
      <c r="L19" s="46"/>
      <c r="M19" s="46">
        <f>K19*I19/360*80*0.6</f>
        <v>0.783</v>
      </c>
      <c r="N19" s="36">
        <f t="shared" si="0"/>
        <v>0.783</v>
      </c>
      <c r="O19" s="10"/>
    </row>
    <row r="20" s="1" customFormat="1" ht="25.5" spans="1:15">
      <c r="A20" s="19"/>
      <c r="B20" s="13"/>
      <c r="C20" s="15"/>
      <c r="D20" s="10" t="s">
        <v>80</v>
      </c>
      <c r="E20" s="10" t="s">
        <v>78</v>
      </c>
      <c r="F20" s="10" t="s">
        <v>21</v>
      </c>
      <c r="G20" s="12"/>
      <c r="H20" s="11" t="s">
        <v>81</v>
      </c>
      <c r="I20" s="33">
        <v>0.0415</v>
      </c>
      <c r="J20" s="43">
        <f>59+92</f>
        <v>151</v>
      </c>
      <c r="K20" s="35">
        <v>200</v>
      </c>
      <c r="L20" s="46">
        <f>K20*I20/360*59*0.6</f>
        <v>0.816166666666667</v>
      </c>
      <c r="M20" s="46">
        <f>K20*I20/360*92*0.6</f>
        <v>1.27266666666667</v>
      </c>
      <c r="N20" s="36">
        <f t="shared" si="0"/>
        <v>2.08883333333333</v>
      </c>
      <c r="O20" s="37"/>
    </row>
    <row r="21" s="1" customFormat="1" ht="36" spans="1:15">
      <c r="A21" s="19">
        <v>13</v>
      </c>
      <c r="B21" s="13"/>
      <c r="C21" s="15" t="s">
        <v>82</v>
      </c>
      <c r="D21" s="15" t="s">
        <v>83</v>
      </c>
      <c r="E21" s="15" t="s">
        <v>84</v>
      </c>
      <c r="F21" s="17" t="s">
        <v>37</v>
      </c>
      <c r="G21" s="15">
        <v>1602</v>
      </c>
      <c r="H21" s="11" t="s">
        <v>85</v>
      </c>
      <c r="I21" s="33">
        <v>0.0405</v>
      </c>
      <c r="J21" s="43">
        <f>83</f>
        <v>83</v>
      </c>
      <c r="K21" s="35">
        <v>500</v>
      </c>
      <c r="L21" s="47"/>
      <c r="M21" s="46">
        <f>K21*I21/360*83*0.6</f>
        <v>2.80125</v>
      </c>
      <c r="N21" s="36">
        <f t="shared" si="0"/>
        <v>2.80125</v>
      </c>
      <c r="O21" s="10"/>
    </row>
    <row r="22" s="1" customFormat="1" ht="24" customHeight="1" spans="1:15">
      <c r="A22" s="10">
        <v>14</v>
      </c>
      <c r="B22" s="13"/>
      <c r="C22" s="15" t="s">
        <v>86</v>
      </c>
      <c r="D22" s="10" t="s">
        <v>87</v>
      </c>
      <c r="E22" s="10" t="s">
        <v>88</v>
      </c>
      <c r="F22" s="10" t="s">
        <v>21</v>
      </c>
      <c r="G22" s="10">
        <v>20000</v>
      </c>
      <c r="H22" s="11" t="s">
        <v>89</v>
      </c>
      <c r="I22" s="33">
        <v>0.0385</v>
      </c>
      <c r="J22" s="43">
        <f>31</f>
        <v>31</v>
      </c>
      <c r="K22" s="35">
        <v>1000</v>
      </c>
      <c r="L22" s="48"/>
      <c r="M22" s="46">
        <f>K22*I22/360*31*0.6</f>
        <v>1.98916666666667</v>
      </c>
      <c r="N22" s="36">
        <f t="shared" si="0"/>
        <v>1.98916666666667</v>
      </c>
      <c r="O22" s="10" t="s">
        <v>90</v>
      </c>
    </row>
    <row r="23" s="1" customFormat="1" ht="66" customHeight="1" spans="1:15">
      <c r="A23" s="20">
        <v>15</v>
      </c>
      <c r="B23" s="13"/>
      <c r="C23" s="10" t="s">
        <v>91</v>
      </c>
      <c r="D23" s="15" t="s">
        <v>83</v>
      </c>
      <c r="E23" s="10" t="s">
        <v>92</v>
      </c>
      <c r="F23" s="10" t="s">
        <v>21</v>
      </c>
      <c r="G23" s="7">
        <v>200</v>
      </c>
      <c r="H23" s="11" t="s">
        <v>93</v>
      </c>
      <c r="I23" s="33">
        <v>0.0385</v>
      </c>
      <c r="J23" s="43">
        <v>12</v>
      </c>
      <c r="K23" s="35">
        <v>100</v>
      </c>
      <c r="L23" s="35"/>
      <c r="M23" s="46">
        <f>60*I23/360*12*0.6</f>
        <v>0.0462</v>
      </c>
      <c r="N23" s="36">
        <f t="shared" si="0"/>
        <v>0.0462</v>
      </c>
      <c r="O23" s="49" t="s">
        <v>94</v>
      </c>
    </row>
    <row r="24" s="1" customFormat="1" ht="25.5" spans="1:15">
      <c r="A24" s="21"/>
      <c r="B24" s="13"/>
      <c r="C24" s="10"/>
      <c r="D24" s="15" t="s">
        <v>95</v>
      </c>
      <c r="E24" s="10" t="s">
        <v>96</v>
      </c>
      <c r="F24" s="10" t="s">
        <v>21</v>
      </c>
      <c r="G24" s="12"/>
      <c r="H24" s="11" t="s">
        <v>97</v>
      </c>
      <c r="I24" s="33">
        <v>0.0385</v>
      </c>
      <c r="J24" s="43">
        <f>54</f>
        <v>54</v>
      </c>
      <c r="K24" s="35">
        <v>80</v>
      </c>
      <c r="L24" s="10"/>
      <c r="M24" s="46">
        <f>K24*I24/360*54*0.6</f>
        <v>0.2772</v>
      </c>
      <c r="N24" s="36">
        <f t="shared" si="0"/>
        <v>0.2772</v>
      </c>
      <c r="O24" s="10"/>
    </row>
    <row r="25" s="1" customFormat="1" ht="25.5" spans="1:15">
      <c r="A25" s="20">
        <v>16</v>
      </c>
      <c r="B25" s="13"/>
      <c r="C25" s="10" t="s">
        <v>98</v>
      </c>
      <c r="D25" s="22" t="s">
        <v>99</v>
      </c>
      <c r="E25" s="10" t="s">
        <v>100</v>
      </c>
      <c r="F25" s="16" t="s">
        <v>37</v>
      </c>
      <c r="G25" s="7">
        <v>411</v>
      </c>
      <c r="H25" s="11" t="s">
        <v>101</v>
      </c>
      <c r="I25" s="33">
        <v>0.0415</v>
      </c>
      <c r="J25" s="43">
        <f>46+92</f>
        <v>138</v>
      </c>
      <c r="K25" s="35">
        <v>60</v>
      </c>
      <c r="L25" s="35">
        <f>K25*I25/360*46*0.6</f>
        <v>0.1909</v>
      </c>
      <c r="M25" s="46">
        <f t="shared" ref="M25:M31" si="2">K25*I25/360*92*0.6</f>
        <v>0.3818</v>
      </c>
      <c r="N25" s="36">
        <f t="shared" si="0"/>
        <v>0.5727</v>
      </c>
      <c r="O25" s="15" t="s">
        <v>102</v>
      </c>
    </row>
    <row r="26" s="1" customFormat="1" ht="26" customHeight="1" spans="1:15">
      <c r="A26" s="23"/>
      <c r="B26" s="13"/>
      <c r="C26" s="10"/>
      <c r="D26" s="22" t="s">
        <v>99</v>
      </c>
      <c r="E26" s="10" t="s">
        <v>100</v>
      </c>
      <c r="F26" s="16" t="s">
        <v>37</v>
      </c>
      <c r="G26" s="13"/>
      <c r="H26" s="11" t="s">
        <v>103</v>
      </c>
      <c r="I26" s="33">
        <v>0.0415</v>
      </c>
      <c r="J26" s="43">
        <f>44+92</f>
        <v>136</v>
      </c>
      <c r="K26" s="35">
        <v>60</v>
      </c>
      <c r="L26" s="35">
        <f>K26*I26/360*44*0.6</f>
        <v>0.1826</v>
      </c>
      <c r="M26" s="46">
        <f t="shared" si="2"/>
        <v>0.3818</v>
      </c>
      <c r="N26" s="36">
        <f t="shared" si="0"/>
        <v>0.5644</v>
      </c>
      <c r="O26" s="15"/>
    </row>
    <row r="27" s="1" customFormat="1" ht="26" customHeight="1" spans="1:15">
      <c r="A27" s="21"/>
      <c r="B27" s="13"/>
      <c r="C27" s="10"/>
      <c r="D27" s="10" t="s">
        <v>104</v>
      </c>
      <c r="E27" s="15" t="s">
        <v>105</v>
      </c>
      <c r="F27" s="15" t="s">
        <v>21</v>
      </c>
      <c r="G27" s="12"/>
      <c r="H27" s="11" t="s">
        <v>106</v>
      </c>
      <c r="I27" s="33">
        <v>0.0405</v>
      </c>
      <c r="J27" s="43">
        <v>90</v>
      </c>
      <c r="K27" s="35">
        <v>100</v>
      </c>
      <c r="L27" s="35"/>
      <c r="M27" s="46">
        <f>K27*I27/360*90*0.6</f>
        <v>0.6075</v>
      </c>
      <c r="N27" s="36">
        <f t="shared" si="0"/>
        <v>0.6075</v>
      </c>
      <c r="O27" s="10"/>
    </row>
    <row r="28" s="1" customFormat="1" ht="25.5" spans="1:15">
      <c r="A28" s="7">
        <v>17</v>
      </c>
      <c r="B28" s="13"/>
      <c r="C28" s="10" t="s">
        <v>107</v>
      </c>
      <c r="D28" s="10" t="s">
        <v>104</v>
      </c>
      <c r="E28" s="15" t="s">
        <v>105</v>
      </c>
      <c r="F28" s="15" t="s">
        <v>21</v>
      </c>
      <c r="G28" s="8">
        <f>114.5+192.7</f>
        <v>307.2</v>
      </c>
      <c r="H28" s="11" t="s">
        <v>108</v>
      </c>
      <c r="I28" s="33">
        <v>0.0405</v>
      </c>
      <c r="J28" s="43">
        <f>1+92</f>
        <v>93</v>
      </c>
      <c r="K28" s="35">
        <v>100</v>
      </c>
      <c r="L28" s="35">
        <f>K28*I28/360*1*0.6</f>
        <v>0.00675</v>
      </c>
      <c r="M28" s="46">
        <f t="shared" si="2"/>
        <v>0.621</v>
      </c>
      <c r="N28" s="36">
        <f t="shared" si="0"/>
        <v>0.62775</v>
      </c>
      <c r="O28" s="10"/>
    </row>
    <row r="29" s="1" customFormat="1" ht="25" customHeight="1" spans="1:15">
      <c r="A29" s="13"/>
      <c r="B29" s="13"/>
      <c r="C29" s="10"/>
      <c r="D29" s="15" t="s">
        <v>99</v>
      </c>
      <c r="E29" s="10" t="s">
        <v>109</v>
      </c>
      <c r="F29" s="15" t="s">
        <v>21</v>
      </c>
      <c r="G29" s="24"/>
      <c r="H29" s="11" t="s">
        <v>110</v>
      </c>
      <c r="I29" s="33">
        <v>0.0405</v>
      </c>
      <c r="J29" s="43">
        <f>15+92</f>
        <v>107</v>
      </c>
      <c r="K29" s="35">
        <v>70</v>
      </c>
      <c r="L29" s="35">
        <f>K29*I29/360*15*0.6</f>
        <v>0.070875</v>
      </c>
      <c r="M29" s="46">
        <f t="shared" si="2"/>
        <v>0.4347</v>
      </c>
      <c r="N29" s="36">
        <f t="shared" si="0"/>
        <v>0.505575</v>
      </c>
      <c r="O29" s="50"/>
    </row>
    <row r="30" s="1" customFormat="1" ht="22" customHeight="1" spans="1:15">
      <c r="A30" s="13"/>
      <c r="B30" s="13"/>
      <c r="C30" s="10"/>
      <c r="D30" s="15" t="s">
        <v>83</v>
      </c>
      <c r="E30" s="10" t="s">
        <v>111</v>
      </c>
      <c r="F30" s="15" t="s">
        <v>21</v>
      </c>
      <c r="G30" s="24"/>
      <c r="H30" s="11" t="s">
        <v>112</v>
      </c>
      <c r="I30" s="33">
        <v>0.0415</v>
      </c>
      <c r="J30" s="43">
        <f>73+92</f>
        <v>165</v>
      </c>
      <c r="K30" s="35">
        <v>8</v>
      </c>
      <c r="L30" s="35">
        <f>K30*I30/360*73*0.6</f>
        <v>0.0403933333333333</v>
      </c>
      <c r="M30" s="46">
        <f t="shared" si="2"/>
        <v>0.0509066666666667</v>
      </c>
      <c r="N30" s="36">
        <f t="shared" si="0"/>
        <v>0.0913</v>
      </c>
      <c r="O30" s="15" t="s">
        <v>113</v>
      </c>
    </row>
    <row r="31" s="1" customFormat="1" ht="23" customHeight="1" spans="1:15">
      <c r="A31" s="12"/>
      <c r="B31" s="13"/>
      <c r="C31" s="10"/>
      <c r="D31" s="15"/>
      <c r="E31" s="10"/>
      <c r="F31" s="15" t="s">
        <v>21</v>
      </c>
      <c r="G31" s="14"/>
      <c r="H31" s="11" t="s">
        <v>114</v>
      </c>
      <c r="I31" s="33">
        <v>0.0415</v>
      </c>
      <c r="J31" s="43">
        <f>66+92</f>
        <v>158</v>
      </c>
      <c r="K31" s="35">
        <v>2</v>
      </c>
      <c r="L31" s="35">
        <f>K31*I31/360*66*0.6</f>
        <v>0.00913</v>
      </c>
      <c r="M31" s="46">
        <f t="shared" si="2"/>
        <v>0.0127266666666667</v>
      </c>
      <c r="N31" s="36">
        <f t="shared" si="0"/>
        <v>0.0218566666666667</v>
      </c>
      <c r="O31" s="15"/>
    </row>
    <row r="32" s="1" customFormat="1" ht="25.5" spans="1:15">
      <c r="A32" s="19">
        <v>18</v>
      </c>
      <c r="B32" s="13"/>
      <c r="C32" s="10" t="s">
        <v>115</v>
      </c>
      <c r="D32" s="10" t="s">
        <v>116</v>
      </c>
      <c r="E32" s="10" t="s">
        <v>73</v>
      </c>
      <c r="F32" s="16" t="s">
        <v>37</v>
      </c>
      <c r="G32" s="7">
        <v>80</v>
      </c>
      <c r="H32" s="11" t="s">
        <v>117</v>
      </c>
      <c r="I32" s="33">
        <v>0.0385</v>
      </c>
      <c r="J32" s="43">
        <f>62</f>
        <v>62</v>
      </c>
      <c r="K32" s="35">
        <v>10</v>
      </c>
      <c r="L32" s="35"/>
      <c r="M32" s="46">
        <f>K32*I32/360*62*0.6</f>
        <v>0.0397833333333333</v>
      </c>
      <c r="N32" s="36">
        <f t="shared" si="0"/>
        <v>0.0397833333333333</v>
      </c>
      <c r="O32" s="15" t="s">
        <v>118</v>
      </c>
    </row>
    <row r="33" s="1" customFormat="1" ht="25.5" spans="1:15">
      <c r="A33" s="19"/>
      <c r="B33" s="12"/>
      <c r="C33" s="10"/>
      <c r="D33" s="15" t="s">
        <v>83</v>
      </c>
      <c r="E33" s="10" t="s">
        <v>111</v>
      </c>
      <c r="F33" s="10" t="s">
        <v>21</v>
      </c>
      <c r="G33" s="12"/>
      <c r="H33" s="11" t="s">
        <v>119</v>
      </c>
      <c r="I33" s="33">
        <v>0.0385</v>
      </c>
      <c r="J33" s="43">
        <f>31</f>
        <v>31</v>
      </c>
      <c r="K33" s="35">
        <v>15</v>
      </c>
      <c r="L33" s="35"/>
      <c r="M33" s="46">
        <f>K33*I33/360*31*0.6</f>
        <v>0.0298375</v>
      </c>
      <c r="N33" s="36">
        <f t="shared" si="0"/>
        <v>0.0298375</v>
      </c>
      <c r="O33" s="15"/>
    </row>
    <row r="34" s="1" customFormat="1" ht="25.5" spans="1:15">
      <c r="A34" s="19">
        <v>19</v>
      </c>
      <c r="B34" s="25" t="s">
        <v>120</v>
      </c>
      <c r="C34" s="15" t="s">
        <v>121</v>
      </c>
      <c r="D34" s="15" t="s">
        <v>104</v>
      </c>
      <c r="E34" s="15" t="s">
        <v>122</v>
      </c>
      <c r="F34" s="15" t="s">
        <v>21</v>
      </c>
      <c r="G34" s="15">
        <v>62</v>
      </c>
      <c r="H34" s="11" t="s">
        <v>123</v>
      </c>
      <c r="I34" s="33">
        <v>0.0415</v>
      </c>
      <c r="J34" s="43">
        <f>59+92</f>
        <v>151</v>
      </c>
      <c r="K34" s="35">
        <v>100</v>
      </c>
      <c r="L34" s="46">
        <f>K34*I34/360*59*0.6</f>
        <v>0.408083333333333</v>
      </c>
      <c r="M34" s="46">
        <f>K34*I34/360*92*0.6</f>
        <v>0.636333333333333</v>
      </c>
      <c r="N34" s="36">
        <f t="shared" si="0"/>
        <v>1.04441666666667</v>
      </c>
      <c r="O34" s="10" t="s">
        <v>124</v>
      </c>
    </row>
    <row r="35" s="1" customFormat="1" ht="25.5" spans="1:15">
      <c r="A35" s="19">
        <v>20</v>
      </c>
      <c r="B35" s="23"/>
      <c r="C35" s="15" t="s">
        <v>125</v>
      </c>
      <c r="D35" s="15" t="s">
        <v>126</v>
      </c>
      <c r="E35" s="15" t="s">
        <v>127</v>
      </c>
      <c r="F35" s="17" t="s">
        <v>37</v>
      </c>
      <c r="G35" s="15">
        <v>400</v>
      </c>
      <c r="H35" s="11" t="s">
        <v>128</v>
      </c>
      <c r="I35" s="33">
        <v>0.0385</v>
      </c>
      <c r="J35" s="43">
        <f>59</f>
        <v>59</v>
      </c>
      <c r="K35" s="35">
        <v>299</v>
      </c>
      <c r="L35" s="46"/>
      <c r="M35" s="46">
        <f>K35*I35/360*59*0.6</f>
        <v>1.13196416666667</v>
      </c>
      <c r="N35" s="36">
        <f t="shared" si="0"/>
        <v>1.13196416666667</v>
      </c>
      <c r="O35" s="10"/>
    </row>
    <row r="36" s="1" customFormat="1" ht="36" spans="1:15">
      <c r="A36" s="19">
        <v>21</v>
      </c>
      <c r="B36" s="23"/>
      <c r="C36" s="15" t="s">
        <v>129</v>
      </c>
      <c r="D36" s="10" t="s">
        <v>130</v>
      </c>
      <c r="E36" s="15" t="s">
        <v>131</v>
      </c>
      <c r="F36" s="17" t="s">
        <v>37</v>
      </c>
      <c r="G36" s="15">
        <v>400</v>
      </c>
      <c r="H36" s="11" t="s">
        <v>132</v>
      </c>
      <c r="I36" s="33">
        <v>0.0405</v>
      </c>
      <c r="J36" s="43">
        <f>9+92</f>
        <v>101</v>
      </c>
      <c r="K36" s="35">
        <v>395</v>
      </c>
      <c r="L36" s="46">
        <f>K36*I36/360*9*0.6</f>
        <v>0.2399625</v>
      </c>
      <c r="M36" s="46">
        <f>K36*I36/360*92*0.6</f>
        <v>2.45295</v>
      </c>
      <c r="N36" s="36">
        <f t="shared" si="0"/>
        <v>2.6929125</v>
      </c>
      <c r="O36" s="10"/>
    </row>
    <row r="37" s="1" customFormat="1" ht="27" customHeight="1" spans="1:15">
      <c r="A37" s="19">
        <v>22</v>
      </c>
      <c r="B37" s="21"/>
      <c r="C37" s="15" t="s">
        <v>133</v>
      </c>
      <c r="D37" s="10" t="s">
        <v>134</v>
      </c>
      <c r="E37" s="10" t="s">
        <v>135</v>
      </c>
      <c r="F37" s="10" t="s">
        <v>21</v>
      </c>
      <c r="G37" s="10">
        <v>121</v>
      </c>
      <c r="H37" s="11" t="s">
        <v>136</v>
      </c>
      <c r="I37" s="33">
        <v>0.0385</v>
      </c>
      <c r="J37" s="43">
        <f>59</f>
        <v>59</v>
      </c>
      <c r="K37" s="35">
        <v>50</v>
      </c>
      <c r="L37" s="35"/>
      <c r="M37" s="46">
        <f>K37*I37/360*59*0.6</f>
        <v>0.189291666666667</v>
      </c>
      <c r="N37" s="36">
        <f t="shared" si="0"/>
        <v>0.189291666666667</v>
      </c>
      <c r="O37" s="10"/>
    </row>
    <row r="38" s="1" customFormat="1" ht="30" customHeight="1" spans="1:15">
      <c r="A38" s="19">
        <v>23</v>
      </c>
      <c r="B38" s="26" t="s">
        <v>137</v>
      </c>
      <c r="C38" s="15" t="s">
        <v>138</v>
      </c>
      <c r="D38" s="15" t="s">
        <v>80</v>
      </c>
      <c r="E38" s="15" t="s">
        <v>139</v>
      </c>
      <c r="F38" s="15" t="s">
        <v>21</v>
      </c>
      <c r="G38" s="15">
        <v>500</v>
      </c>
      <c r="H38" s="11" t="s">
        <v>117</v>
      </c>
      <c r="I38" s="33">
        <v>0.0385</v>
      </c>
      <c r="J38" s="43">
        <f>52</f>
        <v>52</v>
      </c>
      <c r="K38" s="35">
        <v>400</v>
      </c>
      <c r="L38" s="46"/>
      <c r="M38" s="46">
        <f>K38*I38/360*52*0.6</f>
        <v>1.33466666666667</v>
      </c>
      <c r="N38" s="36">
        <f t="shared" si="0"/>
        <v>1.33466666666667</v>
      </c>
      <c r="O38" s="10" t="s">
        <v>140</v>
      </c>
    </row>
    <row r="39" s="1" customFormat="1" ht="36" spans="1:15">
      <c r="A39" s="19">
        <v>24</v>
      </c>
      <c r="B39" s="25" t="s">
        <v>141</v>
      </c>
      <c r="C39" s="15" t="s">
        <v>142</v>
      </c>
      <c r="D39" s="15" t="s">
        <v>72</v>
      </c>
      <c r="E39" s="15" t="s">
        <v>143</v>
      </c>
      <c r="F39" s="15" t="s">
        <v>21</v>
      </c>
      <c r="G39" s="15">
        <v>15000</v>
      </c>
      <c r="H39" s="11" t="s">
        <v>144</v>
      </c>
      <c r="I39" s="33">
        <v>0.0405</v>
      </c>
      <c r="J39" s="43">
        <v>80</v>
      </c>
      <c r="K39" s="35">
        <v>9800</v>
      </c>
      <c r="L39" s="46"/>
      <c r="M39" s="46">
        <f>K39*I39/360*80*0.6</f>
        <v>52.92</v>
      </c>
      <c r="N39" s="36">
        <f t="shared" si="0"/>
        <v>52.92</v>
      </c>
      <c r="O39" s="10" t="s">
        <v>145</v>
      </c>
    </row>
    <row r="40" s="1" customFormat="1" ht="25.5" spans="1:15">
      <c r="A40" s="19">
        <v>25</v>
      </c>
      <c r="B40" s="21"/>
      <c r="C40" s="15" t="s">
        <v>146</v>
      </c>
      <c r="D40" s="15" t="s">
        <v>104</v>
      </c>
      <c r="E40" s="15" t="s">
        <v>147</v>
      </c>
      <c r="F40" s="15" t="s">
        <v>21</v>
      </c>
      <c r="G40" s="15">
        <v>1236</v>
      </c>
      <c r="H40" s="11" t="s">
        <v>148</v>
      </c>
      <c r="I40" s="33">
        <v>0.0385</v>
      </c>
      <c r="J40" s="43">
        <v>30</v>
      </c>
      <c r="K40" s="35">
        <v>300</v>
      </c>
      <c r="L40" s="46"/>
      <c r="M40" s="46">
        <f>K40*I40/360*30*0.6</f>
        <v>0.5775</v>
      </c>
      <c r="N40" s="36">
        <f t="shared" si="0"/>
        <v>0.5775</v>
      </c>
      <c r="O40" s="10"/>
    </row>
    <row r="41" s="1" customFormat="1" ht="25" customHeight="1" spans="1:15">
      <c r="A41" s="19"/>
      <c r="B41" s="19"/>
      <c r="C41" s="10" t="s">
        <v>149</v>
      </c>
      <c r="D41" s="10"/>
      <c r="E41" s="10"/>
      <c r="F41" s="10"/>
      <c r="G41" s="10"/>
      <c r="H41" s="10"/>
      <c r="I41" s="10"/>
      <c r="J41" s="10"/>
      <c r="K41" s="45">
        <f t="shared" ref="K41:N41" si="3">SUM(K4:K40)</f>
        <v>19124.74</v>
      </c>
      <c r="L41" s="45">
        <f t="shared" si="3"/>
        <v>5.8227105</v>
      </c>
      <c r="M41" s="45">
        <f t="shared" si="3"/>
        <v>91.8026174333333</v>
      </c>
      <c r="N41" s="45">
        <f t="shared" si="3"/>
        <v>97.6253279333333</v>
      </c>
      <c r="O41" s="10"/>
    </row>
    <row r="42" s="1" customFormat="1" ht="16" customHeight="1" spans="1:15">
      <c r="A42" s="27"/>
      <c r="B42" s="27"/>
      <c r="C42" s="28"/>
      <c r="D42" s="28"/>
      <c r="E42" s="28"/>
      <c r="F42" s="28"/>
      <c r="G42" s="28"/>
      <c r="H42" s="28"/>
      <c r="I42" s="28"/>
      <c r="J42" s="28"/>
      <c r="K42" s="51"/>
      <c r="L42" s="51"/>
      <c r="M42" s="51"/>
      <c r="N42" s="51"/>
      <c r="O42" s="28"/>
    </row>
    <row r="43" s="1" customFormat="1" ht="18" customHeight="1" spans="1:15">
      <c r="A43" s="29" t="s">
        <v>150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</row>
    <row r="44" s="1" customFormat="1" ht="18" customHeight="1" spans="1:15">
      <c r="A44" s="29" t="s">
        <v>151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</row>
    <row r="45" s="1" customFormat="1" spans="1:15">
      <c r="A45" s="30" t="s">
        <v>152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</row>
    <row r="46" s="1" customFormat="1" spans="1:15">
      <c r="A46" s="31" t="s">
        <v>153</v>
      </c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</row>
  </sheetData>
  <mergeCells count="48">
    <mergeCell ref="A1:O1"/>
    <mergeCell ref="M2:O2"/>
    <mergeCell ref="C41:J41"/>
    <mergeCell ref="A43:O43"/>
    <mergeCell ref="A44:O44"/>
    <mergeCell ref="A45:O45"/>
    <mergeCell ref="A46:O46"/>
    <mergeCell ref="A4:A5"/>
    <mergeCell ref="A6:A7"/>
    <mergeCell ref="A12:A13"/>
    <mergeCell ref="A16:A17"/>
    <mergeCell ref="A19:A20"/>
    <mergeCell ref="A23:A24"/>
    <mergeCell ref="A25:A27"/>
    <mergeCell ref="A28:A31"/>
    <mergeCell ref="A32:A33"/>
    <mergeCell ref="B4:B10"/>
    <mergeCell ref="B11:B17"/>
    <mergeCell ref="B18:B33"/>
    <mergeCell ref="B34:B37"/>
    <mergeCell ref="B39:B40"/>
    <mergeCell ref="C4:C5"/>
    <mergeCell ref="C6:C7"/>
    <mergeCell ref="C12:C13"/>
    <mergeCell ref="C16:C17"/>
    <mergeCell ref="C19:C20"/>
    <mergeCell ref="C23:C24"/>
    <mergeCell ref="C25:C27"/>
    <mergeCell ref="C28:C31"/>
    <mergeCell ref="C32:C33"/>
    <mergeCell ref="D12:D13"/>
    <mergeCell ref="D16:D17"/>
    <mergeCell ref="D30:D31"/>
    <mergeCell ref="E12:E13"/>
    <mergeCell ref="E30:E31"/>
    <mergeCell ref="G4:G5"/>
    <mergeCell ref="G6:G7"/>
    <mergeCell ref="G12:G13"/>
    <mergeCell ref="G16:G17"/>
    <mergeCell ref="G19:G20"/>
    <mergeCell ref="G23:G24"/>
    <mergeCell ref="G25:G27"/>
    <mergeCell ref="G28:G31"/>
    <mergeCell ref="G32:G33"/>
    <mergeCell ref="O12:O13"/>
    <mergeCell ref="O16:O17"/>
    <mergeCell ref="O25:O26"/>
    <mergeCell ref="O30:O3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2020-11-06T01:18:00Z</dcterms:created>
  <dcterms:modified xsi:type="dcterms:W3CDTF">2020-11-30T08:37:12Z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